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C5" i="1"/>
  <c r="AW8" i="1" l="1"/>
  <c r="AU8" i="1"/>
  <c r="N8" i="1"/>
  <c r="M8" i="1"/>
  <c r="L8" i="1"/>
  <c r="K8" i="1"/>
  <c r="J8" i="1"/>
  <c r="AV8" i="1"/>
  <c r="H8" i="1"/>
  <c r="F8" i="1"/>
  <c r="D8" i="1"/>
  <c r="C8" i="1"/>
  <c r="N7" i="1"/>
  <c r="M7" i="1"/>
  <c r="L7" i="1"/>
  <c r="K7" i="1"/>
  <c r="J7" i="1"/>
  <c r="I7" i="1"/>
  <c r="H7" i="1"/>
  <c r="F7" i="1"/>
  <c r="E7" i="1"/>
  <c r="D7" i="1"/>
  <c r="P7" i="1" s="1"/>
  <c r="N6" i="1"/>
  <c r="M6" i="1"/>
  <c r="L6" i="1"/>
  <c r="K6" i="1"/>
  <c r="J6" i="1"/>
  <c r="F6" i="1"/>
  <c r="E6" i="1"/>
  <c r="D6" i="1"/>
  <c r="P6" i="1" s="1"/>
  <c r="C6" i="1"/>
  <c r="N5" i="1"/>
  <c r="M5" i="1"/>
  <c r="L5" i="1"/>
  <c r="K5" i="1"/>
  <c r="J5" i="1"/>
  <c r="I5" i="1"/>
  <c r="F5" i="1"/>
  <c r="E5" i="1"/>
  <c r="D5" i="1"/>
  <c r="P5" i="1" s="1"/>
  <c r="N4" i="1"/>
  <c r="M4" i="1"/>
  <c r="L4" i="1"/>
  <c r="K4" i="1"/>
  <c r="J4" i="1"/>
  <c r="I4" i="1"/>
  <c r="AW4" i="1" s="1"/>
  <c r="H4" i="1"/>
  <c r="F4" i="1"/>
  <c r="E4" i="1"/>
  <c r="P4" i="1" s="1"/>
  <c r="D4" i="1"/>
  <c r="C4" i="1"/>
  <c r="Q8" i="1" l="1"/>
  <c r="Q5" i="1"/>
  <c r="R5" i="1" s="1"/>
  <c r="X5" i="1" s="1"/>
  <c r="AE5" i="1" s="1"/>
  <c r="Q6" i="1"/>
  <c r="R6" i="1" s="1"/>
  <c r="X6" i="1" s="1"/>
  <c r="AE6" i="1" s="1"/>
  <c r="AV4" i="1"/>
  <c r="P8" i="1"/>
  <c r="R8" i="1" s="1"/>
  <c r="Y8" i="1" s="1"/>
  <c r="AE8" i="1" s="1"/>
  <c r="Q4" i="1"/>
  <c r="R4" i="1" s="1"/>
  <c r="AU4" i="1"/>
  <c r="W4" i="1"/>
  <c r="Q7" i="1"/>
  <c r="R7" i="1" s="1"/>
  <c r="AU7" i="1"/>
  <c r="AW7" i="1"/>
  <c r="AW6" i="1"/>
  <c r="AU6" i="1"/>
  <c r="AV6" i="1"/>
  <c r="AV7" i="1"/>
  <c r="AV5" i="1"/>
  <c r="AW5" i="1"/>
  <c r="AU5" i="1"/>
  <c r="V4" i="1"/>
  <c r="S8" i="1" l="1"/>
  <c r="W8" i="1" s="1"/>
  <c r="T8" i="1"/>
  <c r="T6" i="1"/>
  <c r="U8" i="1"/>
  <c r="U6" i="1"/>
  <c r="V8" i="1"/>
  <c r="X8" i="1"/>
  <c r="Z8" i="1"/>
  <c r="Z6" i="1"/>
  <c r="T4" i="1"/>
  <c r="Z4" i="1"/>
  <c r="Y6" i="1"/>
  <c r="S6" i="1"/>
  <c r="U5" i="1"/>
  <c r="T5" i="1"/>
  <c r="S5" i="1"/>
  <c r="Y5" i="1"/>
  <c r="Z5" i="1"/>
  <c r="X7" i="1"/>
  <c r="AE7" i="1" s="1"/>
  <c r="S7" i="1"/>
  <c r="Z7" i="1"/>
  <c r="U7" i="1"/>
  <c r="T7" i="1"/>
  <c r="Y7" i="1"/>
  <c r="X4" i="1"/>
  <c r="AE4" i="1" s="1"/>
  <c r="Y4" i="1"/>
  <c r="S4" i="1"/>
  <c r="U4" i="1"/>
  <c r="W6" i="1" l="1"/>
  <c r="V6" i="1"/>
  <c r="V5" i="1"/>
  <c r="W5" i="1"/>
  <c r="V7" i="1"/>
  <c r="W7" i="1"/>
</calcChain>
</file>

<file path=xl/sharedStrings.xml><?xml version="1.0" encoding="utf-8"?>
<sst xmlns="http://schemas.openxmlformats.org/spreadsheetml/2006/main" count="71" uniqueCount="61">
  <si>
    <t>Day Rates</t>
  </si>
  <si>
    <t>Wording Creator</t>
  </si>
  <si>
    <t>Boat Name</t>
  </si>
  <si>
    <t>Length</t>
  </si>
  <si>
    <t>Bilge</t>
  </si>
  <si>
    <t>Dingy</t>
  </si>
  <si>
    <t>Kayak</t>
  </si>
  <si>
    <t>Project</t>
  </si>
  <si>
    <t>Legs</t>
  </si>
  <si>
    <t>Trailered</t>
  </si>
  <si>
    <t>Multi</t>
  </si>
  <si>
    <t>Partial</t>
  </si>
  <si>
    <t>Under</t>
  </si>
  <si>
    <t>Shed</t>
  </si>
  <si>
    <t>Visitor etc</t>
  </si>
  <si>
    <t>Discounts</t>
  </si>
  <si>
    <t>Uplifts</t>
  </si>
  <si>
    <t>Per meter pa</t>
  </si>
  <si>
    <t>&lt; 18 mon</t>
  </si>
  <si>
    <t>&gt; 18 mon</t>
  </si>
  <si>
    <t>&gt; 36 mon</t>
  </si>
  <si>
    <t>Lifts</t>
  </si>
  <si>
    <t>Set down</t>
  </si>
  <si>
    <t>Date Start</t>
  </si>
  <si>
    <t>Date End</t>
  </si>
  <si>
    <t>Rate</t>
  </si>
  <si>
    <t>&lt;18</t>
  </si>
  <si>
    <t>&gt;18</t>
  </si>
  <si>
    <t>&gt;36</t>
  </si>
  <si>
    <t>&lt; 18 Month</t>
  </si>
  <si>
    <t>&gt; 18 Month</t>
  </si>
  <si>
    <t>Per meter per year base price</t>
  </si>
  <si>
    <t>Notional starting price to which all discounts and uplifts are applied</t>
  </si>
  <si>
    <t xml:space="preserve">Floor </t>
  </si>
  <si>
    <t>Minimum cost per meter per year - discounts cannot push the price lower than this!</t>
  </si>
  <si>
    <t>Lift with Wise</t>
  </si>
  <si>
    <t xml:space="preserve">As a percent of the &lt;18 month fee </t>
  </si>
  <si>
    <t>Bilge discount</t>
  </si>
  <si>
    <t>Discount on set downs for bilge keelers</t>
  </si>
  <si>
    <t>Dinghy</t>
  </si>
  <si>
    <t>Discount on per year base price for dinghies</t>
  </si>
  <si>
    <t>Discount on per year base price for kayaks</t>
  </si>
  <si>
    <t>Uses club legs or frames</t>
  </si>
  <si>
    <t>This automaticly takes account of boat length - so no need to count legs</t>
  </si>
  <si>
    <t>Trailerd sail and motorboats</t>
  </si>
  <si>
    <t>Uplift because these boats do not pay for a mooring</t>
  </si>
  <si>
    <t xml:space="preserve">Multihull </t>
  </si>
  <si>
    <t>Partial undercover</t>
  </si>
  <si>
    <t xml:space="preserve">Undercover </t>
  </si>
  <si>
    <t>In Shed</t>
  </si>
  <si>
    <t>Visitor and off-station</t>
  </si>
  <si>
    <t xml:space="preserve">&gt; 18 month </t>
  </si>
  <si>
    <t xml:space="preserve">See notes: for dinghies, kayacks and trailered boats this is based on an activity test rather than just prescence in the yard. </t>
  </si>
  <si>
    <t xml:space="preserve">&gt; 36 month </t>
  </si>
  <si>
    <t>SAMPLE Yard Fee Model 2024-2025</t>
  </si>
  <si>
    <t xml:space="preserve">This is the exact same spreadsheet used to calculate actual yard fees: Enter your boat details in a row under 'boat name' with the various characteristics and you can see the charges. </t>
  </si>
  <si>
    <t>Example Dinghy</t>
  </si>
  <si>
    <t>Example Small Cruiser 1</t>
  </si>
  <si>
    <t>Example Fin Keel Cruiser</t>
  </si>
  <si>
    <t>Example Bilge keel Cruiser</t>
  </si>
  <si>
    <t>Example Kayak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</si>
</sst>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\£#,##0"/>
    <numFmt numFmtId="165" formatCode="0.0%"/>
    <numFmt numFmtId="166" formatCode="\£#,##0.00"/>
    <numFmt numFmtId="167" formatCode="0.00000"/>
    <numFmt numFmtId="168" formatCode="dd/mm/yy;@"/>
    <numFmt numFmtId="169" formatCode="\£#,##0.0"/>
    <numFmt numFmtId="170" formatCode="\£#,##0;[Red]&quot;-£&quot;#,##0"/>
  </numFmts>
  <fonts count="5" x14ac:knownFonts="1">
    <font>
      <sz val="11"/>
      <color theme="1"/>
      <name val="Calibri"/>
      <family val="2"/>
      <charset val="1"/>
    </font>
    <font>
      <sz val="11"/>
      <color theme="1" tint="0.49949644459364606"/>
      <name val="Calibri"/>
      <family val="2"/>
      <charset val="1"/>
    </font>
    <font>
      <b/>
      <sz val="24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1"/>
      <color theme="1" tint="0.49949644459364606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9" tint="0.79979857783745845"/>
        <bgColor rgb="FFFDE9D9"/>
      </patternFill>
    </fill>
    <fill>
      <patternFill patternType="solid">
        <fgColor rgb="FFFDE9D9"/>
        <bgColor rgb="FFFDEADA"/>
      </patternFill>
    </fill>
    <fill>
      <patternFill patternType="solid">
        <fgColor rgb="FFFFC000"/>
        <bgColor rgb="FFFF9900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CCCCCC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CCCCCC"/>
      </top>
      <bottom style="medium">
        <color rgb="FFF2F2F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2" fillId="0" borderId="0" xfId="0" applyFont="1" applyAlignment="1" applyProtection="1"/>
    <xf numFmtId="0" fontId="3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left" indent="1"/>
    </xf>
    <xf numFmtId="4" fontId="3" fillId="0" borderId="0" xfId="0" applyNumberFormat="1" applyFont="1" applyAlignment="1" applyProtection="1">
      <alignment horizontal="left" indent="1"/>
    </xf>
    <xf numFmtId="0" fontId="3" fillId="0" borderId="0" xfId="0" applyFont="1" applyAlignment="1" applyProtection="1"/>
    <xf numFmtId="164" fontId="3" fillId="0" borderId="0" xfId="0" applyNumberFormat="1" applyFont="1" applyAlignment="1" applyProtection="1"/>
    <xf numFmtId="0" fontId="0" fillId="2" borderId="1" xfId="0" applyFont="1" applyFill="1" applyBorder="1" applyAlignment="1" applyProtection="1">
      <protection locked="0"/>
    </xf>
    <xf numFmtId="0" fontId="0" fillId="3" borderId="2" xfId="0" applyFont="1" applyFill="1" applyBorder="1" applyAlignment="1" applyProtection="1"/>
    <xf numFmtId="0" fontId="0" fillId="3" borderId="3" xfId="0" applyFont="1" applyFill="1" applyBorder="1" applyAlignment="1" applyProtection="1"/>
    <xf numFmtId="0" fontId="0" fillId="3" borderId="3" xfId="0" applyFont="1" applyFill="1" applyBorder="1" applyAlignment="1" applyProtection="1"/>
    <xf numFmtId="165" fontId="1" fillId="0" borderId="0" xfId="0" applyNumberFormat="1" applyFont="1" applyAlignment="1" applyProtection="1">
      <alignment horizontal="left" indent="1"/>
    </xf>
    <xf numFmtId="4" fontId="0" fillId="0" borderId="0" xfId="0" applyNumberFormat="1" applyAlignment="1" applyProtection="1">
      <alignment horizontal="left" indent="1"/>
    </xf>
    <xf numFmtId="164" fontId="0" fillId="0" borderId="0" xfId="0" applyNumberFormat="1" applyAlignment="1" applyProtection="1">
      <alignment horizontal="left" indent="1"/>
    </xf>
    <xf numFmtId="166" fontId="0" fillId="0" borderId="0" xfId="0" applyNumberFormat="1" applyAlignment="1" applyProtection="1">
      <alignment horizontal="left" indent="1"/>
    </xf>
    <xf numFmtId="167" fontId="0" fillId="0" borderId="0" xfId="0" applyNumberFormat="1" applyAlignment="1" applyProtection="1">
      <alignment horizontal="left" indent="1"/>
    </xf>
    <xf numFmtId="168" fontId="0" fillId="4" borderId="0" xfId="0" applyNumberFormat="1" applyFill="1" applyAlignment="1" applyProtection="1">
      <protection locked="0"/>
    </xf>
    <xf numFmtId="0" fontId="0" fillId="4" borderId="0" xfId="0" applyFont="1" applyFill="1" applyAlignment="1" applyProtection="1">
      <protection locked="0"/>
    </xf>
    <xf numFmtId="164" fontId="0" fillId="0" borderId="0" xfId="0" applyNumberFormat="1" applyAlignment="1" applyProtection="1"/>
    <xf numFmtId="0" fontId="0" fillId="3" borderId="4" xfId="0" applyFont="1" applyFill="1" applyBorder="1" applyAlignment="1" applyProtection="1"/>
    <xf numFmtId="166" fontId="0" fillId="0" borderId="5" xfId="0" applyNumberFormat="1" applyBorder="1" applyAlignment="1" applyProtection="1">
      <alignment horizontal="left" indent="1"/>
    </xf>
    <xf numFmtId="169" fontId="3" fillId="0" borderId="0" xfId="0" applyNumberFormat="1" applyFont="1" applyAlignment="1" applyProtection="1"/>
    <xf numFmtId="170" fontId="0" fillId="0" borderId="5" xfId="0" applyNumberFormat="1" applyBorder="1" applyAlignment="1" applyProtection="1">
      <alignment horizontal="left" indent="1"/>
    </xf>
    <xf numFmtId="169" fontId="0" fillId="0" borderId="0" xfId="0" applyNumberFormat="1" applyFont="1" applyAlignment="1" applyProtection="1"/>
    <xf numFmtId="170" fontId="0" fillId="0" borderId="0" xfId="0" applyNumberFormat="1" applyAlignment="1" applyProtection="1">
      <alignment horizontal="left" indent="1"/>
      <protection locked="0"/>
    </xf>
    <xf numFmtId="9" fontId="0" fillId="0" borderId="5" xfId="0" applyNumberFormat="1" applyBorder="1" applyAlignment="1" applyProtection="1">
      <alignment horizontal="left" indent="1"/>
    </xf>
    <xf numFmtId="169" fontId="0" fillId="0" borderId="5" xfId="0" applyNumberFormat="1" applyBorder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0" fillId="0" borderId="0" xfId="0" applyFont="1" applyAlignment="1" applyProtection="1"/>
    <xf numFmtId="10" fontId="0" fillId="0" borderId="0" xfId="0" applyNumberFormat="1" applyAlignment="1" applyProtection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CCCCC"/>
      <rgbColor rgb="FF7F7F7F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DE9D9"/>
      <rgbColor rgb="FF99CCFF"/>
      <rgbColor rgb="FFFF99CC"/>
      <rgbColor rgb="FFCC99FF"/>
      <rgbColor rgb="FFFFC7CE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52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tabSelected="1" zoomScaleNormal="100" workbookViewId="0">
      <pane xSplit="1" ySplit="3" topLeftCell="AB4" activePane="bottomRight" state="frozen"/>
      <selection pane="topRight" activeCell="B1" sqref="B1"/>
      <selection pane="bottomLeft" activeCell="A3" sqref="A3"/>
      <selection pane="bottomRight" activeCell="AE1" sqref="AE1"/>
    </sheetView>
  </sheetViews>
  <sheetFormatPr defaultColWidth="8.7109375" defaultRowHeight="15" x14ac:dyDescent="0.25"/>
  <cols>
    <col min="1" max="1" width="33" style="1" customWidth="1"/>
    <col min="2" max="2" width="9.7109375" style="1" customWidth="1"/>
    <col min="3" max="3" width="10.28515625" style="1" customWidth="1"/>
    <col min="7" max="7" width="5.85546875" style="1" customWidth="1"/>
    <col min="8" max="8" width="8" style="1" customWidth="1"/>
    <col min="9" max="9" width="12.140625" style="1" customWidth="1"/>
    <col min="14" max="14" width="13" style="1" customWidth="1"/>
    <col min="15" max="15" width="4.28515625" style="1" customWidth="1"/>
    <col min="16" max="16" width="12.5703125" style="2" customWidth="1"/>
    <col min="17" max="17" width="11.7109375" style="2" customWidth="1"/>
    <col min="18" max="18" width="13.7109375" style="1" customWidth="1"/>
    <col min="19" max="19" width="11" style="1" customWidth="1"/>
    <col min="20" max="20" width="12.5703125" style="1" customWidth="1"/>
    <col min="21" max="23" width="10.5703125" style="1" customWidth="1"/>
    <col min="24" max="25" width="9.28515625" style="1" customWidth="1"/>
    <col min="26" max="26" width="9.85546875" style="1" customWidth="1"/>
    <col min="27" max="27" width="15.7109375" style="1" customWidth="1"/>
    <col min="28" max="28" width="10.85546875" style="1" customWidth="1"/>
    <col min="30" max="30" width="13.5703125" style="1" customWidth="1"/>
    <col min="31" max="31" width="39.28515625" style="1" customWidth="1"/>
  </cols>
  <sheetData>
    <row r="1" spans="1:49" ht="31.5" x14ac:dyDescent="0.5">
      <c r="B1" s="3" t="s">
        <v>54</v>
      </c>
      <c r="X1" s="1" t="s">
        <v>0</v>
      </c>
      <c r="AA1" s="1" t="s">
        <v>1</v>
      </c>
    </row>
    <row r="2" spans="1:49" ht="31.5" x14ac:dyDescent="0.5">
      <c r="A2" t="s">
        <v>55</v>
      </c>
      <c r="B2" s="3"/>
    </row>
    <row r="3" spans="1:49" ht="15.75" thickBot="1" x14ac:dyDescent="0.3">
      <c r="A3" s="1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/>
      <c r="P3" s="5" t="s">
        <v>15</v>
      </c>
      <c r="Q3" s="5" t="s">
        <v>16</v>
      </c>
      <c r="R3" s="6" t="s">
        <v>17</v>
      </c>
      <c r="S3" s="4" t="s">
        <v>18</v>
      </c>
      <c r="T3" s="4" t="s">
        <v>19</v>
      </c>
      <c r="U3" s="4" t="s">
        <v>20</v>
      </c>
      <c r="V3" s="7" t="s">
        <v>21</v>
      </c>
      <c r="W3" s="7" t="s">
        <v>22</v>
      </c>
      <c r="X3" s="4" t="s">
        <v>18</v>
      </c>
      <c r="Y3" s="4" t="s">
        <v>19</v>
      </c>
      <c r="Z3" s="4" t="s">
        <v>20</v>
      </c>
      <c r="AB3" s="7" t="s">
        <v>23</v>
      </c>
      <c r="AC3" s="7" t="s">
        <v>24</v>
      </c>
      <c r="AD3" s="8" t="s">
        <v>25</v>
      </c>
      <c r="AU3" s="4" t="s">
        <v>26</v>
      </c>
      <c r="AV3" s="4" t="s">
        <v>27</v>
      </c>
      <c r="AW3" s="4" t="s">
        <v>28</v>
      </c>
    </row>
    <row r="4" spans="1:49" x14ac:dyDescent="0.25">
      <c r="A4" s="9" t="s">
        <v>56</v>
      </c>
      <c r="B4" s="10">
        <v>5</v>
      </c>
      <c r="C4" s="11" t="b">
        <f>FALSE()</f>
        <v>0</v>
      </c>
      <c r="D4" s="11" t="b">
        <f>TRUE()</f>
        <v>1</v>
      </c>
      <c r="E4" s="11" t="b">
        <f>FALSE()</f>
        <v>0</v>
      </c>
      <c r="F4" s="11" t="b">
        <f>FALSE()</f>
        <v>0</v>
      </c>
      <c r="G4" s="12"/>
      <c r="H4" s="11" t="b">
        <f>FALSE()</f>
        <v>0</v>
      </c>
      <c r="I4" s="11" t="b">
        <f>FALSE()</f>
        <v>0</v>
      </c>
      <c r="J4" s="11" t="b">
        <f>FALSE()</f>
        <v>0</v>
      </c>
      <c r="K4" s="11" t="b">
        <f>FALSE()</f>
        <v>0</v>
      </c>
      <c r="L4" s="11" t="b">
        <f>FALSE()</f>
        <v>0</v>
      </c>
      <c r="M4" s="11" t="b">
        <f>FALSE()</f>
        <v>0</v>
      </c>
      <c r="N4" s="11" t="b">
        <f>FALSE()</f>
        <v>0</v>
      </c>
      <c r="P4" s="13">
        <f>(IF($D4=TRUE(),$B$18,0))+(IF($E4=TRUE(),$B$19,0))</f>
        <v>0.19</v>
      </c>
      <c r="Q4" s="13">
        <f>(IF($H4=TRUE(),$B$22,0))+(IF($I4=TRUE(),$B$23,0))+(IF($J4=TRUE(),$B$24,0))+(IF($K4=TRUE(),$B$25,0))+(IF($L4=TRUE(),$B$26,0))+(IF($M4=TRUE(),$B$27,0))+(IF($N4=TRUE(),$B$28,0))</f>
        <v>0</v>
      </c>
      <c r="R4" s="14">
        <f>MAX(($B$12-($B$12*$P4)+($Q4*$B$12)), $B$13)</f>
        <v>55.112400000000008</v>
      </c>
      <c r="S4" s="15">
        <f t="shared" ref="S4:S8" si="0">$R4*$B4</f>
        <v>275.56200000000001</v>
      </c>
      <c r="T4" s="15">
        <f>IF($F4=TRUE(),$R4*$B4,($R4*$B$29)*$B4)</f>
        <v>592.45830000000001</v>
      </c>
      <c r="U4" s="15">
        <f>IF($F4=TRUE(),$R4*$B4,($R4*$B$30)*$B4)</f>
        <v>1157.3604000000003</v>
      </c>
      <c r="V4" s="16">
        <f>IF(OR($D4=TRUE(), $E4=TRUE()),0,$S4*$B$14)</f>
        <v>0</v>
      </c>
      <c r="W4" s="16">
        <f>IF(OR($D4=TRUE(), $E4=TRUE()),0,(IF($C4=TRUE(),($S4*$B$14)-($S4*$B$14*$B$15),$S4*$B$14))/2)</f>
        <v>0</v>
      </c>
      <c r="X4" s="17">
        <f t="shared" ref="X4:X8" si="1">($R4*$B4)/365</f>
        <v>0.75496438356164386</v>
      </c>
      <c r="Y4" s="17">
        <f>IF($F4=TRUE(),($R4*$B4)/365,(($R4*$B$29)*$B4)/365)</f>
        <v>1.6231734246575342</v>
      </c>
      <c r="Z4" s="17">
        <f>IF($F4=TRUE(),($R4*$B4)/365,(($R4*$B$30)*$B4)/365)</f>
        <v>3.1708504109589049</v>
      </c>
      <c r="AB4" s="18">
        <v>45292</v>
      </c>
      <c r="AC4" s="18">
        <v>45382</v>
      </c>
      <c r="AD4" s="19" t="s">
        <v>29</v>
      </c>
      <c r="AE4" s="20" t="str">
        <f t="shared" ref="AE4:AE8" si="2">CONCATENATE("Yard Charges for: ",$A4, " - From: ",TEXT($AB4, "dd/mm/yyyy"), " to ", TEXT($AC4, "dd/mm/yyyy")," - Discounts: ",IF(AND($C4=FALSE(),$D4=FALSE(),$E4=FALSE(),$F4=FALSE()),"(none)",),IF($C4=TRUE(),"Bilge Keel",),IF($D4=TRUE()," Dinghy",),IF($E4=TRUE(),"Kayak",),IF($F4=TRUE(),"Project Status",)," - Uplifts: ",IF(AND($H4=FALSE(),$I4=FALSE(),$J4=FALSE(),$K4=FALSE(),$L4=FALSE(),$M4=FALSE(),$N4=FALSE()),"(none)",), IF($H4=TRUE(),"Uses club legs",),IF($I4=TRUE(),"Trailered Boat",),IF($J4=TRUE(),"Multi-hull",),IF($K4=TRUE(),"Partially under cover",),IF($L4=TRUE(),"Under cover",),IF($M4=TRUE(),"In Shed",),IF($N4=TRUE(),"Visitor / off station",)," - ", "Rate: ", $AD4, " = £", IF($AD4="&lt; 18 Month",ROUND($X4,4),),IF($AD4="&gt; 18 Month",ROUND($Y4,4),),IF($AD4="&gt; 36 Month",ROUND($Z4,4),)," per day, for ", ROUND((DAYS360($AB4, $AC4 )/360*365),0), " days")</f>
        <v>Yard Charges for: Example Dinghy - From: 01/01/2024 to 31/03/2024 - Discounts:  Dinghy - Uplifts: (none) - Rate: &lt; 18 Month = £0.755 per day, for 91 days</v>
      </c>
      <c r="AU4" s="15">
        <f t="shared" ref="AU4:AU8" si="3">IF($I4=TRUE(),106*$B4, 64.8*$B4)</f>
        <v>324</v>
      </c>
      <c r="AV4" s="15">
        <f t="shared" ref="AV4:AV8" si="4">IF($I4=TRUE(),238*$B4, 145*$B4)</f>
        <v>725</v>
      </c>
      <c r="AW4" s="15">
        <f t="shared" ref="AW4:AW8" si="5">IF($I4=TRUE(),475*$B4, 291*$B4)</f>
        <v>1455</v>
      </c>
    </row>
    <row r="5" spans="1:49" x14ac:dyDescent="0.25">
      <c r="A5" s="9" t="s">
        <v>57</v>
      </c>
      <c r="B5" s="21">
        <v>7</v>
      </c>
      <c r="C5" s="11" t="b">
        <f>TRUE()</f>
        <v>1</v>
      </c>
      <c r="D5" s="11" t="b">
        <f>FALSE()</f>
        <v>0</v>
      </c>
      <c r="E5" s="11" t="b">
        <f>FALSE()</f>
        <v>0</v>
      </c>
      <c r="F5" s="11" t="b">
        <f>FALSE()</f>
        <v>0</v>
      </c>
      <c r="G5" s="12"/>
      <c r="H5" s="11" t="b">
        <f>FALSE()</f>
        <v>0</v>
      </c>
      <c r="I5" s="11" t="b">
        <f>FALSE()</f>
        <v>0</v>
      </c>
      <c r="J5" s="11" t="b">
        <f>FALSE()</f>
        <v>0</v>
      </c>
      <c r="K5" s="11" t="b">
        <f>FALSE()</f>
        <v>0</v>
      </c>
      <c r="L5" s="11" t="b">
        <f>FALSE()</f>
        <v>0</v>
      </c>
      <c r="M5" s="11" t="b">
        <f>FALSE()</f>
        <v>0</v>
      </c>
      <c r="N5" s="11" t="b">
        <f>FALSE()</f>
        <v>0</v>
      </c>
      <c r="P5" s="13">
        <f>(IF($D5=TRUE(),$B$18,0))+(IF($E5=TRUE(),$B$19,0))</f>
        <v>0</v>
      </c>
      <c r="Q5" s="13">
        <f>(IF($H5=TRUE(),$B$22,0))+(IF($I5=TRUE(),$B$23,0))+(IF($J5=TRUE(),$B$24,0))+(IF($K5=TRUE(),$B$25,0))+(IF($L5=TRUE(),$B$26,0))+(IF($M5=TRUE(),$B$27,0))+(IF($N5=TRUE(),$B$28,0))</f>
        <v>0</v>
      </c>
      <c r="R5" s="14">
        <f>MAX(($B$12-($B$12*$P5)+($Q5*$B$12)), $B$13)</f>
        <v>68.040000000000006</v>
      </c>
      <c r="S5" s="15">
        <f t="shared" si="0"/>
        <v>476.28000000000003</v>
      </c>
      <c r="T5" s="15">
        <f>IF($F5=TRUE(),$R5*$B5,($R5*$B$29)*$B5)</f>
        <v>1024.002</v>
      </c>
      <c r="U5" s="15">
        <f>IF($F5=TRUE(),$R5*$B5,($R5*$B$30)*$B5)</f>
        <v>2000.3760000000002</v>
      </c>
      <c r="V5" s="16">
        <f>IF(OR($D5=TRUE(), $E5=TRUE()),0,$S5*$B$14)</f>
        <v>47.628000000000007</v>
      </c>
      <c r="W5" s="16">
        <f>IF(OR($D5=TRUE(), $E5=TRUE()),0,(IF($C5=TRUE(),($S5*$B$14)-($S5*$B$14*$B$15),$S5*$B$14))/2)</f>
        <v>21.432600000000004</v>
      </c>
      <c r="X5" s="17">
        <f t="shared" si="1"/>
        <v>1.3048767123287672</v>
      </c>
      <c r="Y5" s="17">
        <f>IF($F5=TRUE(),($R5*$B5)/365,(($R5*$B$29)*$B5)/365)</f>
        <v>2.8054849315068493</v>
      </c>
      <c r="Z5" s="17">
        <f>IF($F5=TRUE(),($R5*$B5)/365,(($R5*$B$30)*$B5)/365)</f>
        <v>5.4804821917808226</v>
      </c>
      <c r="AB5" s="18">
        <v>45536</v>
      </c>
      <c r="AC5" s="18">
        <v>45657</v>
      </c>
      <c r="AD5" s="19" t="s">
        <v>29</v>
      </c>
      <c r="AE5" s="20" t="str">
        <f t="shared" si="2"/>
        <v>Yard Charges for: Example Small Cruiser 1 - From: 01/09/2024 to 31/12/2024 - Discounts: Bilge Keel - Uplifts: (none) - Rate: &lt; 18 Month = £1.3049 per day, for 122 days</v>
      </c>
      <c r="AU5" s="15">
        <f t="shared" si="3"/>
        <v>453.59999999999997</v>
      </c>
      <c r="AV5" s="15">
        <f t="shared" si="4"/>
        <v>1015</v>
      </c>
      <c r="AW5" s="15">
        <f t="shared" si="5"/>
        <v>2037</v>
      </c>
    </row>
    <row r="6" spans="1:49" x14ac:dyDescent="0.25">
      <c r="A6" s="9" t="s">
        <v>58</v>
      </c>
      <c r="B6" s="21">
        <v>11</v>
      </c>
      <c r="C6" s="11" t="b">
        <f>FALSE()</f>
        <v>0</v>
      </c>
      <c r="D6" s="11" t="b">
        <f>FALSE()</f>
        <v>0</v>
      </c>
      <c r="E6" s="11" t="b">
        <f>FALSE()</f>
        <v>0</v>
      </c>
      <c r="F6" s="11" t="b">
        <f>FALSE()</f>
        <v>0</v>
      </c>
      <c r="G6" s="12"/>
      <c r="H6" s="11" t="b">
        <v>1</v>
      </c>
      <c r="I6" s="11" t="b">
        <v>0</v>
      </c>
      <c r="J6" s="11" t="b">
        <f>FALSE()</f>
        <v>0</v>
      </c>
      <c r="K6" s="11" t="b">
        <f>FALSE()</f>
        <v>0</v>
      </c>
      <c r="L6" s="11" t="b">
        <f>FALSE()</f>
        <v>0</v>
      </c>
      <c r="M6" s="11" t="b">
        <f>FALSE()</f>
        <v>0</v>
      </c>
      <c r="N6" s="11" t="b">
        <f>FALSE()</f>
        <v>0</v>
      </c>
      <c r="P6" s="13">
        <f>(IF($D6=TRUE(),$B$18,0))+(IF($E6=TRUE(),$B$19,0))</f>
        <v>0</v>
      </c>
      <c r="Q6" s="13">
        <f>(IF($H6=TRUE(),$B$22,0))+(IF($I6=TRUE(),$B$23,0))+(IF($J6=TRUE(),$B$24,0))+(IF($K6=TRUE(),$B$25,0))+(IF($L6=TRUE(),$B$26,0))+(IF($M6=TRUE(),$B$27,0))+(IF($N6=TRUE(),$B$28,0))</f>
        <v>0.16</v>
      </c>
      <c r="R6" s="14">
        <f>MAX(($B$12-($B$12*$P6)+($Q6*$B$12)), $B$13)</f>
        <v>78.926400000000001</v>
      </c>
      <c r="S6" s="15">
        <f t="shared" si="0"/>
        <v>868.19039999999995</v>
      </c>
      <c r="T6" s="15">
        <f>IF($F6=TRUE(),$R6*$B6,($R6*$B$29)*$B6)</f>
        <v>1866.6093599999999</v>
      </c>
      <c r="U6" s="15">
        <f>IF($F6=TRUE(),$R6*$B6,($R6*$B$30)*$B6)</f>
        <v>3646.39968</v>
      </c>
      <c r="V6" s="16">
        <f>IF(OR($D6=TRUE(), $E6=TRUE()),0,$S6*$B$14)</f>
        <v>86.819040000000001</v>
      </c>
      <c r="W6" s="16">
        <f>IF(OR($D6=TRUE(), $E6=TRUE()),0,(IF($C6=TRUE(),($S6*$B$14)-($S6*$B$14*$B$15),$S6*$B$14))/2)</f>
        <v>43.409520000000001</v>
      </c>
      <c r="X6" s="17">
        <f t="shared" si="1"/>
        <v>2.3786038356164383</v>
      </c>
      <c r="Y6" s="17">
        <f>IF($F6=TRUE(),($R6*$B6)/365,(($R6*$B$29)*$B6)/365)</f>
        <v>5.113998246575342</v>
      </c>
      <c r="Z6" s="17">
        <f>IF($F6=TRUE(),($R6*$B6)/365,(($R6*$B$30)*$B6)/365)</f>
        <v>9.9901361095890415</v>
      </c>
      <c r="AB6" s="18">
        <v>45292</v>
      </c>
      <c r="AC6" s="18">
        <v>45382</v>
      </c>
      <c r="AD6" s="19" t="s">
        <v>29</v>
      </c>
      <c r="AE6" s="20" t="str">
        <f t="shared" si="2"/>
        <v>Yard Charges for: Example Fin Keel Cruiser - From: 01/01/2024 to 31/03/2024 - Discounts: (none) - Uplifts: Uses club legs - Rate: &lt; 18 Month = £2.3786 per day, for 91 days</v>
      </c>
      <c r="AU6" s="15">
        <f t="shared" si="3"/>
        <v>712.8</v>
      </c>
      <c r="AV6" s="15">
        <f t="shared" si="4"/>
        <v>1595</v>
      </c>
      <c r="AW6" s="15">
        <f t="shared" si="5"/>
        <v>3201</v>
      </c>
    </row>
    <row r="7" spans="1:49" x14ac:dyDescent="0.25">
      <c r="A7" s="9" t="s">
        <v>59</v>
      </c>
      <c r="B7" s="21">
        <v>9</v>
      </c>
      <c r="C7" s="11" t="b">
        <v>1</v>
      </c>
      <c r="D7" s="11" t="b">
        <f>FALSE()</f>
        <v>0</v>
      </c>
      <c r="E7" s="11" t="b">
        <f>FALSE()</f>
        <v>0</v>
      </c>
      <c r="F7" s="11" t="b">
        <f>FALSE()</f>
        <v>0</v>
      </c>
      <c r="G7" s="12"/>
      <c r="H7" s="11" t="b">
        <f>TRUE()</f>
        <v>1</v>
      </c>
      <c r="I7" s="11" t="b">
        <f>FALSE()</f>
        <v>0</v>
      </c>
      <c r="J7" s="11" t="b">
        <f>FALSE()</f>
        <v>0</v>
      </c>
      <c r="K7" s="11" t="b">
        <f>FALSE()</f>
        <v>0</v>
      </c>
      <c r="L7" s="11" t="b">
        <f>FALSE()</f>
        <v>0</v>
      </c>
      <c r="M7" s="11" t="b">
        <f>FALSE()</f>
        <v>0</v>
      </c>
      <c r="N7" s="11" t="b">
        <f>FALSE()</f>
        <v>0</v>
      </c>
      <c r="P7" s="13">
        <f>(IF($D7=TRUE(),$B$18,0))+(IF($E7=TRUE(),$B$19,0))</f>
        <v>0</v>
      </c>
      <c r="Q7" s="13">
        <f>(IF($H7=TRUE(),$B$22,0))+(IF($I7=TRUE(),$B$23,0))+(IF($J7=TRUE(),$B$24,0))+(IF($K7=TRUE(),$B$25,0))+(IF($L7=TRUE(),$B$26,0))+(IF($M7=TRUE(),$B$27,0))+(IF($N7=TRUE(),$B$28,0))</f>
        <v>0.16</v>
      </c>
      <c r="R7" s="14">
        <f>MAX(($B$12-($B$12*$P7)+($Q7*$B$12)), $B$13)</f>
        <v>78.926400000000001</v>
      </c>
      <c r="S7" s="15">
        <f t="shared" si="0"/>
        <v>710.33760000000007</v>
      </c>
      <c r="T7" s="15">
        <f>IF($F7=TRUE(),$R7*$B7,($R7*$B$29)*$B7)</f>
        <v>1527.2258399999998</v>
      </c>
      <c r="U7" s="15">
        <f>IF($F7=TRUE(),$R7*$B7,($R7*$B$30)*$B7)</f>
        <v>2983.4179199999999</v>
      </c>
      <c r="V7" s="16">
        <f>IF(OR($D7=TRUE(), $E7=TRUE()),0,$S7*$B$14)</f>
        <v>71.033760000000015</v>
      </c>
      <c r="W7" s="16">
        <f>IF(OR($D7=TRUE(), $E7=TRUE()),0,(IF($C7=TRUE(),($S7*$B$14)-($S7*$B$14*$B$15),$S7*$B$14))/2)</f>
        <v>31.965192000000005</v>
      </c>
      <c r="X7" s="17">
        <f t="shared" si="1"/>
        <v>1.9461304109589044</v>
      </c>
      <c r="Y7" s="17">
        <f>IF($F7=TRUE(),($R7*$B7)/365,(($R7*$B$29)*$B7)/365)</f>
        <v>4.1841803835616433</v>
      </c>
      <c r="Z7" s="17">
        <f>IF($F7=TRUE(),($R7*$B7)/365,(($R7*$B$30)*$B7)/365)</f>
        <v>8.173747726027397</v>
      </c>
      <c r="AB7" s="18">
        <v>45292</v>
      </c>
      <c r="AC7" s="18">
        <v>45382</v>
      </c>
      <c r="AD7" s="19" t="s">
        <v>29</v>
      </c>
      <c r="AE7" s="20" t="str">
        <f t="shared" si="2"/>
        <v>Yard Charges for: Example Bilge keel Cruiser - From: 01/01/2024 to 31/03/2024 - Discounts: Bilge Keel - Uplifts: Uses club legs - Rate: &lt; 18 Month = £1.9461 per day, for 91 days</v>
      </c>
      <c r="AU7" s="15">
        <f t="shared" si="3"/>
        <v>583.19999999999993</v>
      </c>
      <c r="AV7" s="15">
        <f t="shared" si="4"/>
        <v>1305</v>
      </c>
      <c r="AW7" s="15">
        <f t="shared" si="5"/>
        <v>2619</v>
      </c>
    </row>
    <row r="8" spans="1:49" ht="15.75" thickBot="1" x14ac:dyDescent="0.3">
      <c r="A8" s="9" t="s">
        <v>60</v>
      </c>
      <c r="B8" s="21">
        <v>3</v>
      </c>
      <c r="C8" s="11" t="b">
        <f>FALSE()</f>
        <v>0</v>
      </c>
      <c r="D8" s="11" t="b">
        <f>FALSE()</f>
        <v>0</v>
      </c>
      <c r="E8" s="11" t="b">
        <v>1</v>
      </c>
      <c r="F8" s="11" t="b">
        <f>FALSE()</f>
        <v>0</v>
      </c>
      <c r="G8" s="12"/>
      <c r="H8" s="11" t="b">
        <f>FALSE()</f>
        <v>0</v>
      </c>
      <c r="I8" s="11" t="b">
        <v>0</v>
      </c>
      <c r="J8" s="11" t="b">
        <f>FALSE()</f>
        <v>0</v>
      </c>
      <c r="K8" s="11" t="b">
        <f>FALSE()</f>
        <v>0</v>
      </c>
      <c r="L8" s="11" t="b">
        <f>FALSE()</f>
        <v>0</v>
      </c>
      <c r="M8" s="11" t="b">
        <f>FALSE()</f>
        <v>0</v>
      </c>
      <c r="N8" s="11" t="b">
        <f>FALSE()</f>
        <v>0</v>
      </c>
      <c r="P8" s="13">
        <f>(IF($D8=TRUE(),$B$18,0))+(IF($E8=TRUE(),$B$19,0))</f>
        <v>0.6</v>
      </c>
      <c r="Q8" s="13">
        <f>(IF($H8=TRUE(),$B$22,0))+(IF($I8=TRUE(),$B$23,0))+(IF($J8=TRUE(),$B$24,0))+(IF($K8=TRUE(),$B$25,0))+(IF($L8=TRUE(),$B$26,0))+(IF($M8=TRUE(),$B$27,0))+(IF($N8=TRUE(),$B$28,0))</f>
        <v>0</v>
      </c>
      <c r="R8" s="14">
        <f>MAX(($B$12-($B$12*$P8)+($Q8*$B$12)), $B$13)</f>
        <v>27.216000000000001</v>
      </c>
      <c r="S8" s="15">
        <f t="shared" si="0"/>
        <v>81.647999999999996</v>
      </c>
      <c r="T8" s="15">
        <f>IF($F8=TRUE(),$R8*$B8,($R8*$B$29)*$B8)</f>
        <v>175.54320000000001</v>
      </c>
      <c r="U8" s="15">
        <f>IF($F8=TRUE(),$R8*$B8,($R8*$B$30)*$B8)</f>
        <v>342.92160000000001</v>
      </c>
      <c r="V8" s="16">
        <f>IF(OR($D8=TRUE(), $E8=TRUE()),0,$S8*$B$14)</f>
        <v>0</v>
      </c>
      <c r="W8" s="16">
        <f>IF(OR($D8=TRUE(), $E8=TRUE()),0,(IF($C8=TRUE(),($S8*$B$14)-($S8*$B$14*$B$15),$S8*$B$14))/2)</f>
        <v>0</v>
      </c>
      <c r="X8" s="17">
        <f t="shared" si="1"/>
        <v>0.22369315068493151</v>
      </c>
      <c r="Y8" s="17">
        <f>IF($F8=TRUE(),($R8*$B8)/365,(($R8*$B$29)*$B8)/365)</f>
        <v>0.48094027397260275</v>
      </c>
      <c r="Z8" s="17">
        <f>IF($F8=TRUE(),($R8*$B8)/365,(($R8*$B$30)*$B8)/365)</f>
        <v>0.93951123287671234</v>
      </c>
      <c r="AB8" s="18">
        <v>45536</v>
      </c>
      <c r="AC8" s="18">
        <v>45899</v>
      </c>
      <c r="AD8" s="19" t="s">
        <v>30</v>
      </c>
      <c r="AE8" s="20" t="str">
        <f t="shared" si="2"/>
        <v>Yard Charges for: Example Kayak - From: 01/09/2024 to 30/08/2025 - Discounts: Kayak - Uplifts: (none) - Rate: &gt; 18 Month = £0.4809 per day, for 364 days</v>
      </c>
      <c r="AU8" s="15">
        <f t="shared" si="3"/>
        <v>194.39999999999998</v>
      </c>
      <c r="AV8" s="15">
        <f t="shared" si="4"/>
        <v>435</v>
      </c>
      <c r="AW8" s="15">
        <f t="shared" si="5"/>
        <v>873</v>
      </c>
    </row>
    <row r="12" spans="1:49" x14ac:dyDescent="0.25">
      <c r="A12" s="7" t="s">
        <v>31</v>
      </c>
      <c r="B12" s="22">
        <v>68.040000000000006</v>
      </c>
      <c r="C12" s="1" t="s">
        <v>32</v>
      </c>
    </row>
    <row r="13" spans="1:49" x14ac:dyDescent="0.25">
      <c r="A13" s="23" t="s">
        <v>33</v>
      </c>
      <c r="B13" s="24">
        <v>20</v>
      </c>
      <c r="C13" s="25" t="s">
        <v>34</v>
      </c>
      <c r="E13" s="26"/>
    </row>
    <row r="14" spans="1:49" x14ac:dyDescent="0.25">
      <c r="A14" s="7" t="s">
        <v>35</v>
      </c>
      <c r="B14" s="27">
        <v>0.1</v>
      </c>
      <c r="C14" s="1" t="s">
        <v>36</v>
      </c>
      <c r="E14" s="26"/>
    </row>
    <row r="15" spans="1:49" x14ac:dyDescent="0.25">
      <c r="A15" s="7" t="s">
        <v>37</v>
      </c>
      <c r="B15" s="27">
        <v>0.1</v>
      </c>
      <c r="C15" s="1" t="s">
        <v>38</v>
      </c>
      <c r="E15" s="26"/>
    </row>
    <row r="16" spans="1:49" x14ac:dyDescent="0.25">
      <c r="B16" s="28"/>
    </row>
    <row r="17" spans="1:5" x14ac:dyDescent="0.25">
      <c r="A17" s="7" t="s">
        <v>15</v>
      </c>
      <c r="B17" s="28"/>
    </row>
    <row r="18" spans="1:5" x14ac:dyDescent="0.25">
      <c r="A18" s="1" t="s">
        <v>39</v>
      </c>
      <c r="B18" s="27">
        <v>0.19</v>
      </c>
      <c r="C18" s="1" t="s">
        <v>40</v>
      </c>
    </row>
    <row r="19" spans="1:5" x14ac:dyDescent="0.25">
      <c r="A19" s="1" t="s">
        <v>6</v>
      </c>
      <c r="B19" s="27">
        <v>0.6</v>
      </c>
      <c r="C19" s="1" t="s">
        <v>41</v>
      </c>
      <c r="E19" s="29"/>
    </row>
    <row r="20" spans="1:5" x14ac:dyDescent="0.25">
      <c r="B20" s="27"/>
      <c r="E20" s="29"/>
    </row>
    <row r="21" spans="1:5" x14ac:dyDescent="0.25">
      <c r="A21" s="7" t="s">
        <v>16</v>
      </c>
      <c r="B21" s="27"/>
    </row>
    <row r="22" spans="1:5" x14ac:dyDescent="0.25">
      <c r="A22" s="30" t="s">
        <v>42</v>
      </c>
      <c r="B22" s="27">
        <v>0.16</v>
      </c>
      <c r="C22" s="1" t="s">
        <v>43</v>
      </c>
    </row>
    <row r="23" spans="1:5" x14ac:dyDescent="0.25">
      <c r="A23" s="30" t="s">
        <v>44</v>
      </c>
      <c r="B23" s="27">
        <v>0.69</v>
      </c>
      <c r="C23" s="1" t="s">
        <v>45</v>
      </c>
    </row>
    <row r="24" spans="1:5" x14ac:dyDescent="0.25">
      <c r="A24" s="1" t="s">
        <v>46</v>
      </c>
      <c r="B24" s="27">
        <v>0.42</v>
      </c>
    </row>
    <row r="25" spans="1:5" x14ac:dyDescent="0.25">
      <c r="A25" s="1" t="s">
        <v>47</v>
      </c>
      <c r="B25" s="27">
        <v>0.15</v>
      </c>
    </row>
    <row r="26" spans="1:5" x14ac:dyDescent="0.25">
      <c r="A26" s="1" t="s">
        <v>48</v>
      </c>
      <c r="B26" s="27">
        <v>0.2</v>
      </c>
    </row>
    <row r="27" spans="1:5" x14ac:dyDescent="0.25">
      <c r="A27" s="1" t="s">
        <v>49</v>
      </c>
      <c r="B27" s="27">
        <v>0.42</v>
      </c>
    </row>
    <row r="28" spans="1:5" x14ac:dyDescent="0.25">
      <c r="A28" s="1" t="s">
        <v>50</v>
      </c>
      <c r="B28" s="27">
        <v>0.7</v>
      </c>
    </row>
    <row r="29" spans="1:5" x14ac:dyDescent="0.25">
      <c r="A29" s="1" t="s">
        <v>51</v>
      </c>
      <c r="B29" s="27">
        <v>2.15</v>
      </c>
      <c r="C29" s="1" t="s">
        <v>52</v>
      </c>
    </row>
    <row r="30" spans="1:5" x14ac:dyDescent="0.25">
      <c r="A30" s="1" t="s">
        <v>53</v>
      </c>
      <c r="B30" s="27">
        <v>4.2</v>
      </c>
      <c r="C30" s="1" t="s">
        <v>52</v>
      </c>
    </row>
    <row r="33" spans="1:4" x14ac:dyDescent="0.25">
      <c r="A33" s="7"/>
      <c r="B33" s="4"/>
      <c r="C33" s="4"/>
      <c r="D33" s="4"/>
    </row>
    <row r="35" spans="1:4" x14ac:dyDescent="0.25">
      <c r="B35" s="20"/>
      <c r="C35" s="20"/>
      <c r="D35" s="20"/>
    </row>
    <row r="36" spans="1:4" x14ac:dyDescent="0.25">
      <c r="B36" s="31"/>
      <c r="C36" s="31"/>
      <c r="D36" s="31"/>
    </row>
  </sheetData>
  <conditionalFormatting sqref="C4:N8">
    <cfRule type="cellIs" dxfId="3" priority="2" operator="equal">
      <formula>1</formula>
    </cfRule>
    <cfRule type="cellIs" dxfId="2" priority="3" operator="equal">
      <formula>1</formula>
    </cfRule>
  </conditionalFormatting>
  <conditionalFormatting sqref="D4">
    <cfRule type="cellIs" dxfId="1" priority="4" operator="equal">
      <formula>1</formula>
    </cfRule>
  </conditionalFormatting>
  <conditionalFormatting sqref="C4">
    <cfRule type="cellIs" dxfId="0" priority="5" operator="equal">
      <formula>1</formula>
    </cfRule>
  </conditionalFormatting>
  <dataValidations count="1">
    <dataValidation type="list" allowBlank="1" showInputMessage="1" showErrorMessage="1" sqref="AD4:AD8">
      <formula1>"&lt; 18 Month,&gt; 18 Month,&gt; 36 Month"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</dc:creator>
  <cp:lastModifiedBy>Richard P</cp:lastModifiedBy>
  <cp:revision>48</cp:revision>
  <dcterms:created xsi:type="dcterms:W3CDTF">2023-06-25T06:26:20Z</dcterms:created>
  <dcterms:modified xsi:type="dcterms:W3CDTF">2025-02-08T19:22:25Z</dcterms:modified>
  <dc:language>en-GB</dc:language>
</cp:coreProperties>
</file>